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ok/Downloads/"/>
    </mc:Choice>
  </mc:AlternateContent>
  <xr:revisionPtr revIDLastSave="0" documentId="13_ncr:1_{535B7771-22E4-4245-8051-D97153DD069F}" xr6:coauthVersionLast="47" xr6:coauthVersionMax="47" xr10:uidLastSave="{00000000-0000-0000-0000-000000000000}"/>
  <bookViews>
    <workbookView xWindow="0" yWindow="760" windowWidth="30240" windowHeight="18880" xr2:uid="{656AA27A-83C1-0F45-94A9-5AFA9AC45387}"/>
  </bookViews>
  <sheets>
    <sheet name="12_Mona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5" l="1"/>
  <c r="C39" i="5"/>
  <c r="I21" i="5"/>
  <c r="H19" i="5"/>
  <c r="B46" i="5" s="1"/>
  <c r="G19" i="5"/>
  <c r="I19" i="5" s="1"/>
  <c r="R17" i="5"/>
  <c r="T17" i="5" s="1"/>
  <c r="O17" i="5"/>
  <c r="N7" i="5"/>
  <c r="O7" i="5" s="1"/>
  <c r="N8" i="5"/>
  <c r="O8" i="5" s="1"/>
  <c r="N9" i="5"/>
  <c r="O9" i="5" s="1"/>
  <c r="N10" i="5"/>
  <c r="O10" i="5" s="1"/>
  <c r="N11" i="5"/>
  <c r="O11" i="5" s="1"/>
  <c r="N12" i="5"/>
  <c r="O12" i="5" s="1"/>
  <c r="N13" i="5"/>
  <c r="O13" i="5" s="1"/>
  <c r="N14" i="5"/>
  <c r="O14" i="5" s="1"/>
  <c r="N15" i="5"/>
  <c r="O15" i="5" s="1"/>
  <c r="N16" i="5"/>
  <c r="O16" i="5" s="1"/>
  <c r="N6" i="5"/>
  <c r="O6" i="5" s="1"/>
  <c r="R7" i="5"/>
  <c r="T7" i="5" s="1"/>
  <c r="R8" i="5"/>
  <c r="T8" i="5" s="1"/>
  <c r="R9" i="5"/>
  <c r="T9" i="5" s="1"/>
  <c r="R10" i="5"/>
  <c r="T10" i="5" s="1"/>
  <c r="R11" i="5"/>
  <c r="T11" i="5" s="1"/>
  <c r="R12" i="5"/>
  <c r="T12" i="5" s="1"/>
  <c r="R13" i="5"/>
  <c r="T13" i="5" s="1"/>
  <c r="R14" i="5"/>
  <c r="T14" i="5" s="1"/>
  <c r="R15" i="5"/>
  <c r="T15" i="5" s="1"/>
  <c r="R16" i="5"/>
  <c r="T16" i="5" s="1"/>
  <c r="R6" i="5"/>
  <c r="I5" i="5"/>
  <c r="I6" i="5"/>
  <c r="J6" i="5" s="1"/>
  <c r="I7" i="5"/>
  <c r="J7" i="5" s="1"/>
  <c r="I8" i="5"/>
  <c r="J8" i="5" s="1"/>
  <c r="I9" i="5"/>
  <c r="K9" i="5" s="1"/>
  <c r="I10" i="5"/>
  <c r="J10" i="5" s="1"/>
  <c r="I11" i="5"/>
  <c r="J11" i="5" s="1"/>
  <c r="I12" i="5"/>
  <c r="K12" i="5" s="1"/>
  <c r="I13" i="5"/>
  <c r="K13" i="5" s="1"/>
  <c r="I14" i="5"/>
  <c r="K14" i="5" s="1"/>
  <c r="I15" i="5"/>
  <c r="K15" i="5" s="1"/>
  <c r="I16" i="5"/>
  <c r="J16" i="5" s="1"/>
  <c r="I17" i="5"/>
  <c r="J17" i="5" s="1"/>
  <c r="S19" i="5"/>
  <c r="M19" i="5"/>
  <c r="E19" i="5"/>
  <c r="B31" i="5" s="1"/>
  <c r="C33" i="5" s="1"/>
  <c r="C19" i="5"/>
  <c r="C21" i="5" s="1"/>
  <c r="D19" i="5"/>
  <c r="B19" i="5"/>
  <c r="P14" i="5" l="1"/>
  <c r="P15" i="5"/>
  <c r="P12" i="5"/>
  <c r="P11" i="5"/>
  <c r="P10" i="5"/>
  <c r="P9" i="5"/>
  <c r="P6" i="5"/>
  <c r="P8" i="5"/>
  <c r="P13" i="5"/>
  <c r="P7" i="5"/>
  <c r="P16" i="5"/>
  <c r="B48" i="5"/>
  <c r="B47" i="5"/>
  <c r="C29" i="5"/>
  <c r="D35" i="5" s="1"/>
  <c r="D41" i="5" s="1"/>
  <c r="J15" i="5"/>
  <c r="J14" i="5"/>
  <c r="K11" i="5"/>
  <c r="K10" i="5"/>
  <c r="K7" i="5"/>
  <c r="J13" i="5"/>
  <c r="J12" i="5"/>
  <c r="K17" i="5"/>
  <c r="K16" i="5"/>
  <c r="J9" i="5"/>
  <c r="K6" i="5"/>
  <c r="K8" i="5"/>
  <c r="R19" i="5"/>
  <c r="T6" i="5"/>
  <c r="T19" i="5"/>
  <c r="N19" i="5"/>
  <c r="P19" i="5" s="1"/>
  <c r="J19" i="5"/>
  <c r="K19" i="5"/>
  <c r="O19" i="5" l="1"/>
  <c r="B49" i="5"/>
  <c r="D42" i="5"/>
</calcChain>
</file>

<file path=xl/sharedStrings.xml><?xml version="1.0" encoding="utf-8"?>
<sst xmlns="http://schemas.openxmlformats.org/spreadsheetml/2006/main" count="77" uniqueCount="71">
  <si>
    <t>Mai</t>
  </si>
  <si>
    <t>Summe</t>
  </si>
  <si>
    <t>Diff</t>
  </si>
  <si>
    <t>Juni</t>
  </si>
  <si>
    <t>Verbrauch</t>
  </si>
  <si>
    <t>Erzeugung</t>
  </si>
  <si>
    <t>Eigenverbrauch</t>
  </si>
  <si>
    <t>Export</t>
  </si>
  <si>
    <t>Netzbezug</t>
  </si>
  <si>
    <t>Autarkie</t>
  </si>
  <si>
    <t>November</t>
  </si>
  <si>
    <t>Dezember</t>
  </si>
  <si>
    <t>Januar</t>
  </si>
  <si>
    <t>IN</t>
  </si>
  <si>
    <t>OUT</t>
  </si>
  <si>
    <t>Februar</t>
  </si>
  <si>
    <t>Spalte1</t>
  </si>
  <si>
    <t>Spalte2</t>
  </si>
  <si>
    <t>Spalte3</t>
  </si>
  <si>
    <t>Spalte4</t>
  </si>
  <si>
    <t>Spalte5</t>
  </si>
  <si>
    <t>Spalte6</t>
  </si>
  <si>
    <t>Spalte7</t>
  </si>
  <si>
    <t>Spalte9</t>
  </si>
  <si>
    <t>Spalte10</t>
  </si>
  <si>
    <t>Spalte11</t>
  </si>
  <si>
    <t>Spalte12</t>
  </si>
  <si>
    <t>Spalte13</t>
  </si>
  <si>
    <t>März</t>
  </si>
  <si>
    <t xml:space="preserve">April </t>
  </si>
  <si>
    <t xml:space="preserve">Juli </t>
  </si>
  <si>
    <t>August</t>
  </si>
  <si>
    <t>September</t>
  </si>
  <si>
    <t>Spalte62</t>
  </si>
  <si>
    <t>Batt-Bezug</t>
  </si>
  <si>
    <t>Spalte63</t>
  </si>
  <si>
    <t>Oktober</t>
  </si>
  <si>
    <t>B A S I C</t>
  </si>
  <si>
    <t>A U T A R K I E</t>
  </si>
  <si>
    <t>B A T T E R I E</t>
  </si>
  <si>
    <t>E3DC EIGENVERBRAUCH</t>
  </si>
  <si>
    <t>Spalte622</t>
  </si>
  <si>
    <t>Autark</t>
  </si>
  <si>
    <t>E3DC</t>
  </si>
  <si>
    <t>Direkt-Verb.</t>
  </si>
  <si>
    <t>Wallbox</t>
  </si>
  <si>
    <t>kWh/kwp</t>
  </si>
  <si>
    <t>VZyk/10,8</t>
  </si>
  <si>
    <t>Strompreis</t>
  </si>
  <si>
    <t>Euro/kWh</t>
  </si>
  <si>
    <t>Ersparnis kWh</t>
  </si>
  <si>
    <t>in Euro</t>
  </si>
  <si>
    <t>Erlös</t>
  </si>
  <si>
    <t xml:space="preserve"> </t>
  </si>
  <si>
    <t>Daten</t>
  </si>
  <si>
    <t>Euro</t>
  </si>
  <si>
    <t>Total</t>
  </si>
  <si>
    <t>Export kWh</t>
  </si>
  <si>
    <t>Summe Erlös</t>
  </si>
  <si>
    <t>Gerüst</t>
  </si>
  <si>
    <t>Invest</t>
  </si>
  <si>
    <t>Rendite</t>
  </si>
  <si>
    <t>Ammo-Jahre</t>
  </si>
  <si>
    <t>R E N D I T E</t>
  </si>
  <si>
    <t>kWh</t>
  </si>
  <si>
    <t>statt Einspeis</t>
  </si>
  <si>
    <t>davon Akku</t>
  </si>
  <si>
    <t>SoMa</t>
  </si>
  <si>
    <t>Anlage netto</t>
  </si>
  <si>
    <t>Effizienz</t>
  </si>
  <si>
    <t>Spalte14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</si>
</sst>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165" formatCode="#,##0.00\ &quot;€&quot;"/>
    <numFmt numFmtId="166" formatCode="#,##0.0000\ &quot;€&quot;"/>
    <numFmt numFmtId="167" formatCode="#,##0\ &quot;€&quot;"/>
    <numFmt numFmtId="168" formatCode="0.0%"/>
    <numFmt numFmtId="169" formatCode="#,##0.0"/>
  </numFmts>
  <fonts count="7" x14ac:knownFonts="1">
    <font>
      <sz val="12"/>
      <color theme="1"/>
      <name val="Century Gothic"/>
      <family val="2"/>
      <scheme val="minor"/>
    </font>
    <font>
      <b/>
      <sz val="12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2"/>
      <color theme="1"/>
      <name val="Century Gothic"/>
      <family val="1"/>
      <scheme val="minor"/>
    </font>
    <font>
      <sz val="8"/>
      <name val="Century Gothic"/>
      <family val="2"/>
      <scheme val="minor"/>
    </font>
    <font>
      <sz val="12"/>
      <color theme="1" tint="0.499984740745262"/>
      <name val="Century Gothic"/>
      <family val="2"/>
      <scheme val="minor"/>
    </font>
    <font>
      <b/>
      <sz val="12"/>
      <color theme="1"/>
      <name val="Century Gothic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rgb="FF3F3F3F"/>
      </bottom>
      <diagonal/>
    </border>
    <border>
      <left style="thin">
        <color theme="5"/>
      </left>
      <right/>
      <top/>
      <bottom style="thin">
        <color rgb="FF3F3F3F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 style="thin">
        <color rgb="FF3F3F3F"/>
      </bottom>
      <diagonal/>
    </border>
    <border>
      <left/>
      <right style="thin">
        <color theme="5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47">
    <xf numFmtId="0" fontId="0" fillId="0" borderId="0" xfId="0"/>
    <xf numFmtId="3" fontId="0" fillId="0" borderId="0" xfId="0" applyNumberFormat="1"/>
    <xf numFmtId="4" fontId="0" fillId="0" borderId="0" xfId="0" applyNumberFormat="1"/>
    <xf numFmtId="165" fontId="0" fillId="0" borderId="0" xfId="0" applyNumberFormat="1"/>
    <xf numFmtId="168" fontId="0" fillId="0" borderId="0" xfId="0" applyNumberFormat="1"/>
    <xf numFmtId="0" fontId="1" fillId="2" borderId="1" xfId="1"/>
    <xf numFmtId="3" fontId="1" fillId="2" borderId="1" xfId="1" applyNumberFormat="1"/>
    <xf numFmtId="168" fontId="1" fillId="2" borderId="1" xfId="1" applyNumberFormat="1"/>
    <xf numFmtId="0" fontId="2" fillId="3" borderId="0" xfId="2"/>
    <xf numFmtId="168" fontId="3" fillId="0" borderId="0" xfId="0" applyNumberFormat="1" applyFont="1"/>
    <xf numFmtId="0" fontId="2" fillId="3" borderId="0" xfId="2" applyAlignment="1">
      <alignment horizontal="center"/>
    </xf>
    <xf numFmtId="3" fontId="2" fillId="3" borderId="0" xfId="2" applyNumberFormat="1" applyAlignment="1">
      <alignment horizontal="center"/>
    </xf>
    <xf numFmtId="3" fontId="0" fillId="0" borderId="3" xfId="0" applyNumberFormat="1" applyBorder="1"/>
    <xf numFmtId="4" fontId="0" fillId="0" borderId="4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6" xfId="0" applyNumberFormat="1" applyBorder="1"/>
    <xf numFmtId="0" fontId="0" fillId="0" borderId="9" xfId="0" applyBorder="1"/>
    <xf numFmtId="168" fontId="0" fillId="0" borderId="9" xfId="0" applyNumberFormat="1" applyBorder="1"/>
    <xf numFmtId="168" fontId="0" fillId="0" borderId="8" xfId="0" applyNumberFormat="1" applyBorder="1"/>
    <xf numFmtId="0" fontId="0" fillId="0" borderId="7" xfId="0" applyBorder="1"/>
    <xf numFmtId="0" fontId="0" fillId="0" borderId="6" xfId="0" applyBorder="1"/>
    <xf numFmtId="3" fontId="0" fillId="0" borderId="9" xfId="0" applyNumberFormat="1" applyBorder="1"/>
    <xf numFmtId="3" fontId="0" fillId="0" borderId="8" xfId="0" applyNumberFormat="1" applyBorder="1"/>
    <xf numFmtId="0" fontId="0" fillId="4" borderId="0" xfId="0" applyFill="1"/>
    <xf numFmtId="3" fontId="5" fillId="0" borderId="0" xfId="0" applyNumberFormat="1" applyFont="1"/>
    <xf numFmtId="167" fontId="0" fillId="0" borderId="0" xfId="0" applyNumberFormat="1"/>
    <xf numFmtId="166" fontId="0" fillId="0" borderId="0" xfId="0" applyNumberFormat="1"/>
    <xf numFmtId="167" fontId="6" fillId="0" borderId="0" xfId="0" applyNumberFormat="1" applyFont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0" fontId="0" fillId="0" borderId="0" xfId="0" applyNumberFormat="1"/>
    <xf numFmtId="6" fontId="0" fillId="0" borderId="0" xfId="0" applyNumberFormat="1"/>
    <xf numFmtId="10" fontId="6" fillId="0" borderId="0" xfId="0" applyNumberFormat="1" applyFont="1"/>
    <xf numFmtId="169" fontId="6" fillId="0" borderId="0" xfId="0" applyNumberFormat="1" applyFont="1"/>
    <xf numFmtId="10" fontId="1" fillId="2" borderId="1" xfId="1" applyNumberFormat="1"/>
    <xf numFmtId="0" fontId="6" fillId="0" borderId="0" xfId="0" applyFont="1"/>
    <xf numFmtId="3" fontId="6" fillId="0" borderId="0" xfId="0" applyNumberFormat="1" applyFont="1"/>
    <xf numFmtId="4" fontId="0" fillId="0" borderId="0" xfId="0" applyNumberFormat="1"/>
    <xf numFmtId="3" fontId="0" fillId="0" borderId="0" xfId="0" applyNumberFormat="1"/>
    <xf numFmtId="0" fontId="0" fillId="0" borderId="0" xfId="0"/>
    <xf numFmtId="0" fontId="0" fillId="5" borderId="0" xfId="0" applyFill="1"/>
    <xf numFmtId="3" fontId="0" fillId="5" borderId="0" xfId="0" applyNumberFormat="1" applyFill="1"/>
  </cellXfs>
  <cellStyles count="3">
    <cellStyle name="Akzent2" xfId="2" builtinId="33"/>
    <cellStyle name="Ausgabe" xfId="1" builtinId="21"/>
    <cellStyle name="Standard" xfId="0" builtinId="0"/>
  </cellStyles>
  <dxfs count="1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protection locked="0" hidden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8" formatCode="0.0%"/>
    </dxf>
    <dxf>
      <numFmt numFmtId="168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3CBEB8-D8F9-7149-9C56-45B52EF34271}" name="Tabelle2" displayName="Tabelle2" ref="A3:P21" totalsRowShown="0">
  <tableColumns count="16">
    <tableColumn id="1" xr3:uid="{C29B9A4C-FFFB-8441-9ED7-FFD74BB76890}" name="Spalte1"/>
    <tableColumn id="2" xr3:uid="{00768234-9289-4F42-A73D-733175125E09}" name="Spalte2" dataDxfId="15"/>
    <tableColumn id="3" xr3:uid="{8F01EAAC-AA0B-BF48-BCC7-9C4101CA32D6}" name="Spalte3" dataDxfId="14"/>
    <tableColumn id="4" xr3:uid="{BCBBAD30-B677-124D-967A-3C2A82EFEDDE}" name="Spalte4" dataDxfId="13"/>
    <tableColumn id="5" xr3:uid="{4BACE41F-4F50-4548-8AF4-7E051A6DE0D3}" name="Spalte5" dataDxfId="12"/>
    <tableColumn id="6" xr3:uid="{416755FC-0250-5E47-BD8B-7A1ECC5E6DD0}" name="Spalte6"/>
    <tableColumn id="15" xr3:uid="{DFD6AC65-4C32-5348-8B96-6631058D4C7E}" name="Spalte63"/>
    <tableColumn id="14" xr3:uid="{258FAE55-45C2-DC41-AE6F-E5E2378A9F71}" name="Spalte62"/>
    <tableColumn id="16" xr3:uid="{E17232AF-7170-D84C-A564-69DB542F5A76}" name="Spalte622" dataDxfId="11">
      <calculatedColumnFormula>Tabelle2[[#This Row],[Spalte63]]+Tabelle2[[#This Row],[Spalte62]]</calculatedColumnFormula>
    </tableColumn>
    <tableColumn id="7" xr3:uid="{D24E1DA8-1CD0-7E4D-921A-A3020B6E9D5D}" name="Spalte7" dataDxfId="10"/>
    <tableColumn id="9" xr3:uid="{6F0FFE60-75F8-1A45-B0DD-A47CD633B3C1}" name="Spalte9" dataDxfId="9"/>
    <tableColumn id="10" xr3:uid="{8583B940-485B-F342-BAD3-D110DB4EA1E3}" name="Spalte10"/>
    <tableColumn id="11" xr3:uid="{69D1D996-75AD-A641-80B6-03DBDB332A56}" name="Spalte11" dataDxfId="8"/>
    <tableColumn id="12" xr3:uid="{A04F3EAD-8A9F-AD4C-8D80-31ED3CB3A340}" name="Spalte12" dataDxfId="7"/>
    <tableColumn id="13" xr3:uid="{E3FF6665-F332-7849-8085-F96942B37E14}" name="Spalte13" dataDxfId="6">
      <calculatedColumnFormula>N4/10.8</calculatedColumnFormula>
    </tableColumn>
    <tableColumn id="8" xr3:uid="{B5C2BCDA-EE47-584D-A06D-FC593EBAA50F}" name="Spalte14" dataDxfId="5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2EBC17B-C19F-B949-B836-E6A3DFF83A99}" name="Tabelle4" displayName="Tabelle4" ref="A24:E50" totalsRowShown="0" headerRowDxfId="4">
  <tableColumns count="5">
    <tableColumn id="1" xr3:uid="{65B15D97-CE8A-DF48-8447-2EEF80B1DE57}" name=" "/>
    <tableColumn id="2" xr3:uid="{16E10CA7-A8C5-144D-A1FD-CCAAB9F5782F}" name="Daten" dataDxfId="3"/>
    <tableColumn id="3" xr3:uid="{55A54430-C104-504B-8D3B-9510AAC328E1}" name="Euro" dataDxfId="2"/>
    <tableColumn id="4" xr3:uid="{A3EC6782-CDDF-D04D-8C00-85BC97C2D0B1}" name="Summe" dataDxfId="1"/>
    <tableColumn id="5" xr3:uid="{7B1A4027-78CA-0D4D-8D9E-B2A056F460B5}" name="Total" dataDxfId="0"/>
  </tableColumns>
  <tableStyleInfo name="TableStyleLight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B79F9-B9CE-0F46-B7C8-0D626ADD4055}">
  <sheetPr>
    <pageSetUpPr fitToPage="1"/>
  </sheetPr>
  <dimension ref="A2:T49"/>
  <sheetViews>
    <sheetView tabSelected="1" zoomScale="150" zoomScaleNormal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" sqref="B6"/>
    </sheetView>
  </sheetViews>
  <sheetFormatPr baseColWidth="10" defaultRowHeight="16" x14ac:dyDescent="0.2"/>
  <cols>
    <col min="1" max="1" width="12.28515625" customWidth="1"/>
    <col min="2" max="2" width="13" style="1" customWidth="1"/>
    <col min="3" max="3" width="11" style="1" customWidth="1"/>
    <col min="4" max="4" width="10.7109375" style="1" customWidth="1"/>
    <col min="5" max="5" width="10.7109375" style="1"/>
    <col min="6" max="6" width="1.5703125" customWidth="1"/>
    <col min="7" max="7" width="11.42578125" customWidth="1"/>
    <col min="8" max="9" width="11.7109375" customWidth="1"/>
    <col min="10" max="10" width="8.85546875" style="4" customWidth="1"/>
    <col min="11" max="11" width="14.42578125" customWidth="1"/>
    <col min="12" max="12" width="1.140625" customWidth="1"/>
    <col min="13" max="14" width="10.7109375" style="1"/>
    <col min="15" max="15" width="10.7109375" style="2"/>
    <col min="16" max="16" width="9.5703125" style="2" customWidth="1"/>
    <col min="17" max="17" width="1.140625" customWidth="1"/>
    <col min="18" max="20" width="10.7109375" style="1"/>
  </cols>
  <sheetData>
    <row r="2" spans="1:20" x14ac:dyDescent="0.2">
      <c r="B2" s="43" t="s">
        <v>37</v>
      </c>
      <c r="C2" s="44"/>
      <c r="D2" s="44"/>
      <c r="E2" s="44"/>
      <c r="G2" s="44" t="s">
        <v>38</v>
      </c>
      <c r="H2" s="44"/>
      <c r="I2" s="44"/>
      <c r="J2" s="44"/>
      <c r="M2" s="42" t="s">
        <v>39</v>
      </c>
      <c r="N2" s="42"/>
      <c r="O2" s="42"/>
      <c r="R2" t="s">
        <v>40</v>
      </c>
      <c r="S2"/>
      <c r="T2"/>
    </row>
    <row r="3" spans="1:20" hidden="1" x14ac:dyDescent="0.2">
      <c r="A3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t="s">
        <v>21</v>
      </c>
      <c r="G3" t="s">
        <v>35</v>
      </c>
      <c r="H3" t="s">
        <v>33</v>
      </c>
      <c r="I3" t="s">
        <v>41</v>
      </c>
      <c r="J3" s="4" t="s">
        <v>22</v>
      </c>
      <c r="K3" t="s">
        <v>23</v>
      </c>
      <c r="L3" t="s">
        <v>24</v>
      </c>
      <c r="M3" s="1" t="s">
        <v>25</v>
      </c>
      <c r="N3" s="1" t="s">
        <v>26</v>
      </c>
      <c r="O3" s="2" t="s">
        <v>27</v>
      </c>
      <c r="P3" s="2" t="s">
        <v>70</v>
      </c>
      <c r="Q3" t="s">
        <v>24</v>
      </c>
      <c r="R3" s="1" t="s">
        <v>25</v>
      </c>
      <c r="S3" s="1" t="s">
        <v>26</v>
      </c>
      <c r="T3" s="1" t="s">
        <v>26</v>
      </c>
    </row>
    <row r="4" spans="1:20" x14ac:dyDescent="0.2">
      <c r="A4" s="8"/>
      <c r="B4" s="10" t="s">
        <v>4</v>
      </c>
      <c r="C4" s="10" t="s">
        <v>5</v>
      </c>
      <c r="D4" s="10" t="s">
        <v>8</v>
      </c>
      <c r="E4" s="10" t="s">
        <v>7</v>
      </c>
      <c r="F4" s="10"/>
      <c r="G4" s="10" t="s">
        <v>44</v>
      </c>
      <c r="H4" s="10" t="s">
        <v>34</v>
      </c>
      <c r="I4" s="11" t="s">
        <v>42</v>
      </c>
      <c r="J4" s="10" t="s">
        <v>9</v>
      </c>
      <c r="K4" s="10" t="s">
        <v>6</v>
      </c>
      <c r="L4" s="8"/>
      <c r="M4" s="10" t="s">
        <v>13</v>
      </c>
      <c r="N4" s="10" t="s">
        <v>14</v>
      </c>
      <c r="O4" s="10" t="s">
        <v>47</v>
      </c>
      <c r="P4" s="11" t="s">
        <v>69</v>
      </c>
      <c r="Q4" s="8"/>
      <c r="R4" s="10" t="s">
        <v>67</v>
      </c>
      <c r="S4" s="10" t="s">
        <v>43</v>
      </c>
      <c r="T4" s="10" t="s">
        <v>2</v>
      </c>
    </row>
    <row r="5" spans="1:20" x14ac:dyDescent="0.2">
      <c r="E5" s="24"/>
      <c r="F5" s="26"/>
      <c r="G5" s="22"/>
      <c r="I5" s="1">
        <f>Tabelle2[[#This Row],[Spalte63]]+Tabelle2[[#This Row],[Spalte62]]</f>
        <v>0</v>
      </c>
      <c r="K5" s="19"/>
      <c r="L5" s="26"/>
      <c r="M5" s="17"/>
      <c r="P5" s="1"/>
      <c r="Q5" s="26"/>
      <c r="R5" s="15"/>
      <c r="S5" s="12"/>
      <c r="T5" s="13"/>
    </row>
    <row r="6" spans="1:20" x14ac:dyDescent="0.2">
      <c r="A6" t="s">
        <v>29</v>
      </c>
      <c r="B6" s="27">
        <v>684.6</v>
      </c>
      <c r="C6" s="1">
        <v>1332.1</v>
      </c>
      <c r="D6" s="1">
        <v>34.299999999999997</v>
      </c>
      <c r="E6" s="24">
        <v>653.20000000000005</v>
      </c>
      <c r="F6" s="26"/>
      <c r="G6" s="17">
        <v>367</v>
      </c>
      <c r="H6" s="1">
        <v>274.5</v>
      </c>
      <c r="I6" s="1">
        <f>Tabelle2[[#This Row],[Spalte63]]+Tabelle2[[#This Row],[Spalte62]]</f>
        <v>641.5</v>
      </c>
      <c r="J6" s="9">
        <f>Tabelle2[[#This Row],[Spalte622]]/Tabelle2[[#This Row],[Spalte2]]</f>
        <v>0.93704352906806887</v>
      </c>
      <c r="K6" s="20">
        <f>Tabelle2[[#This Row],[Spalte622]]/Tabelle2[[#This Row],[Spalte3]]</f>
        <v>0.48157045266871862</v>
      </c>
      <c r="L6" s="26"/>
      <c r="M6" s="17">
        <v>301</v>
      </c>
      <c r="N6" s="1">
        <f>Tabelle2[[#This Row],[Spalte62]]</f>
        <v>274.5</v>
      </c>
      <c r="O6" s="1">
        <f>N6/10.8</f>
        <v>25.416666666666664</v>
      </c>
      <c r="P6" s="35">
        <f>Tabelle2[[#This Row],[Spalte12]]/Tabelle2[[#This Row],[Spalte11]]</f>
        <v>0.91196013289036548</v>
      </c>
      <c r="Q6" s="26"/>
      <c r="R6" s="15">
        <f>Tabelle2[[#This Row],[Spalte2]]</f>
        <v>684.6</v>
      </c>
      <c r="S6" s="12">
        <v>588</v>
      </c>
      <c r="T6" s="14">
        <f>R6-S6</f>
        <v>96.600000000000023</v>
      </c>
    </row>
    <row r="7" spans="1:20" x14ac:dyDescent="0.2">
      <c r="A7" t="s">
        <v>0</v>
      </c>
      <c r="B7" s="1">
        <v>967</v>
      </c>
      <c r="C7" s="1">
        <v>1479.2</v>
      </c>
      <c r="D7" s="1">
        <v>95.5</v>
      </c>
      <c r="E7" s="24">
        <v>587</v>
      </c>
      <c r="F7" s="26"/>
      <c r="G7" s="17">
        <v>646.25</v>
      </c>
      <c r="H7" s="1">
        <v>238</v>
      </c>
      <c r="I7" s="1">
        <f>Tabelle2[[#This Row],[Spalte63]]+Tabelle2[[#This Row],[Spalte62]]</f>
        <v>884.25</v>
      </c>
      <c r="J7" s="9">
        <f>Tabelle2[[#This Row],[Spalte622]]/Tabelle2[[#This Row],[Spalte2]]</f>
        <v>0.91442605997931747</v>
      </c>
      <c r="K7" s="20">
        <f>Tabelle2[[#This Row],[Spalte622]]/Tabelle2[[#This Row],[Spalte3]]</f>
        <v>0.59778934559221197</v>
      </c>
      <c r="L7" s="26"/>
      <c r="M7" s="17">
        <v>251.26</v>
      </c>
      <c r="N7" s="1">
        <f>Tabelle2[[#This Row],[Spalte62]]</f>
        <v>238</v>
      </c>
      <c r="O7" s="1">
        <f t="shared" ref="O7:O12" si="0">N7/10.8</f>
        <v>22.037037037037035</v>
      </c>
      <c r="P7" s="35">
        <f>Tabelle2[[#This Row],[Spalte12]]/Tabelle2[[#This Row],[Spalte11]]</f>
        <v>0.94722598105548039</v>
      </c>
      <c r="Q7" s="26"/>
      <c r="R7" s="15">
        <f>Tabelle2[[#This Row],[Spalte2]]</f>
        <v>967</v>
      </c>
      <c r="S7" s="12">
        <v>885</v>
      </c>
      <c r="T7" s="14">
        <f t="shared" ref="T7:T17" si="1">R7-S7</f>
        <v>82</v>
      </c>
    </row>
    <row r="8" spans="1:20" x14ac:dyDescent="0.2">
      <c r="A8" t="s">
        <v>3</v>
      </c>
      <c r="B8" s="1">
        <v>1254.4000000000001</v>
      </c>
      <c r="C8" s="1">
        <v>1602.5</v>
      </c>
      <c r="D8" s="1">
        <v>136.30000000000001</v>
      </c>
      <c r="E8" s="24">
        <v>462.4</v>
      </c>
      <c r="F8" s="26"/>
      <c r="G8" s="17">
        <v>828.53</v>
      </c>
      <c r="H8" s="1">
        <v>298.37</v>
      </c>
      <c r="I8" s="1">
        <f>Tabelle2[[#This Row],[Spalte63]]+Tabelle2[[#This Row],[Spalte62]]</f>
        <v>1126.9000000000001</v>
      </c>
      <c r="J8" s="9">
        <f>Tabelle2[[#This Row],[Spalte622]]/Tabelle2[[#This Row],[Spalte2]]</f>
        <v>0.89835778061224492</v>
      </c>
      <c r="K8" s="20">
        <f>Tabelle2[[#This Row],[Spalte622]]/Tabelle2[[#This Row],[Spalte3]]</f>
        <v>0.70321372854914199</v>
      </c>
      <c r="L8" s="26"/>
      <c r="M8" s="17">
        <v>318</v>
      </c>
      <c r="N8" s="1">
        <f>Tabelle2[[#This Row],[Spalte62]]</f>
        <v>298.37</v>
      </c>
      <c r="O8" s="1">
        <f t="shared" si="0"/>
        <v>27.62685185185185</v>
      </c>
      <c r="P8" s="35">
        <f>Tabelle2[[#This Row],[Spalte12]]/Tabelle2[[#This Row],[Spalte11]]</f>
        <v>0.93827044025157236</v>
      </c>
      <c r="Q8" s="26"/>
      <c r="R8" s="15">
        <f>Tabelle2[[#This Row],[Spalte2]]</f>
        <v>1254.4000000000001</v>
      </c>
      <c r="S8" s="12">
        <v>1162.8399999999999</v>
      </c>
      <c r="T8" s="14">
        <f t="shared" si="1"/>
        <v>91.560000000000173</v>
      </c>
    </row>
    <row r="9" spans="1:20" x14ac:dyDescent="0.2">
      <c r="A9" t="s">
        <v>30</v>
      </c>
      <c r="B9" s="1">
        <v>1042.5999999999999</v>
      </c>
      <c r="C9" s="1">
        <v>1523.7</v>
      </c>
      <c r="D9" s="1">
        <v>234.6</v>
      </c>
      <c r="E9" s="24">
        <v>701.3</v>
      </c>
      <c r="F9" s="26"/>
      <c r="G9" s="17">
        <v>520.53</v>
      </c>
      <c r="H9" s="1">
        <v>278.52999999999997</v>
      </c>
      <c r="I9" s="1">
        <f>Tabelle2[[#This Row],[Spalte63]]+Tabelle2[[#This Row],[Spalte62]]</f>
        <v>799.06</v>
      </c>
      <c r="J9" s="9">
        <f>Tabelle2[[#This Row],[Spalte622]]/Tabelle2[[#This Row],[Spalte2]]</f>
        <v>0.7664108958373298</v>
      </c>
      <c r="K9" s="20">
        <f>Tabelle2[[#This Row],[Spalte622]]/Tabelle2[[#This Row],[Spalte3]]</f>
        <v>0.52442081774627547</v>
      </c>
      <c r="L9" s="26"/>
      <c r="M9" s="17">
        <v>290.31</v>
      </c>
      <c r="N9" s="1">
        <f>Tabelle2[[#This Row],[Spalte62]]</f>
        <v>278.52999999999997</v>
      </c>
      <c r="O9" s="1">
        <f t="shared" si="0"/>
        <v>25.789814814814811</v>
      </c>
      <c r="P9" s="35">
        <f>Tabelle2[[#This Row],[Spalte12]]/Tabelle2[[#This Row],[Spalte11]]</f>
        <v>0.95942268609417514</v>
      </c>
      <c r="Q9" s="26"/>
      <c r="R9" s="15">
        <f>Tabelle2[[#This Row],[Spalte2]]</f>
        <v>1042.5999999999999</v>
      </c>
      <c r="S9" s="12">
        <v>941.2</v>
      </c>
      <c r="T9" s="14">
        <f t="shared" si="1"/>
        <v>101.39999999999986</v>
      </c>
    </row>
    <row r="10" spans="1:20" x14ac:dyDescent="0.2">
      <c r="A10" t="s">
        <v>31</v>
      </c>
      <c r="B10" s="1">
        <v>1052</v>
      </c>
      <c r="C10" s="1">
        <v>1420</v>
      </c>
      <c r="D10" s="1">
        <v>123.7</v>
      </c>
      <c r="E10" s="24">
        <v>454.9</v>
      </c>
      <c r="F10" s="26"/>
      <c r="G10" s="17">
        <v>600.04</v>
      </c>
      <c r="H10" s="1">
        <v>339.36</v>
      </c>
      <c r="I10" s="1">
        <f>Tabelle2[[#This Row],[Spalte63]]+Tabelle2[[#This Row],[Spalte62]]</f>
        <v>939.4</v>
      </c>
      <c r="J10" s="9">
        <f>Tabelle2[[#This Row],[Spalte622]]/Tabelle2[[#This Row],[Spalte2]]</f>
        <v>0.89296577946768063</v>
      </c>
      <c r="K10" s="20">
        <f>Tabelle2[[#This Row],[Spalte622]]/Tabelle2[[#This Row],[Spalte3]]</f>
        <v>0.66154929577464783</v>
      </c>
      <c r="L10" s="26"/>
      <c r="M10" s="17">
        <v>365.66</v>
      </c>
      <c r="N10" s="1">
        <f>Tabelle2[[#This Row],[Spalte62]]</f>
        <v>339.36</v>
      </c>
      <c r="O10" s="1">
        <f t="shared" si="0"/>
        <v>31.422222222222221</v>
      </c>
      <c r="P10" s="35">
        <f>Tabelle2[[#This Row],[Spalte12]]/Tabelle2[[#This Row],[Spalte11]]</f>
        <v>0.92807526117158012</v>
      </c>
      <c r="Q10" s="26"/>
      <c r="R10" s="15">
        <f>Tabelle2[[#This Row],[Spalte2]]</f>
        <v>1052</v>
      </c>
      <c r="S10" s="12">
        <v>968.26</v>
      </c>
      <c r="T10" s="14">
        <f t="shared" si="1"/>
        <v>83.740000000000009</v>
      </c>
    </row>
    <row r="11" spans="1:20" x14ac:dyDescent="0.2">
      <c r="A11" t="s">
        <v>32</v>
      </c>
      <c r="B11" s="1">
        <v>900.5</v>
      </c>
      <c r="C11" s="1">
        <v>884.5</v>
      </c>
      <c r="D11" s="1">
        <v>268</v>
      </c>
      <c r="E11" s="24">
        <v>228</v>
      </c>
      <c r="F11" s="26"/>
      <c r="G11" s="17">
        <v>352.68</v>
      </c>
      <c r="H11" s="1">
        <v>292.31</v>
      </c>
      <c r="I11" s="1">
        <f>Tabelle2[[#This Row],[Spalte63]]+Tabelle2[[#This Row],[Spalte62]]</f>
        <v>644.99</v>
      </c>
      <c r="J11" s="9">
        <f>Tabelle2[[#This Row],[Spalte622]]/Tabelle2[[#This Row],[Spalte2]]</f>
        <v>0.7162576346474181</v>
      </c>
      <c r="K11" s="20">
        <f>Tabelle2[[#This Row],[Spalte622]]/Tabelle2[[#This Row],[Spalte3]]</f>
        <v>0.72921424533634827</v>
      </c>
      <c r="L11" s="26"/>
      <c r="M11" s="17">
        <v>308.64999999999998</v>
      </c>
      <c r="N11" s="1">
        <f>Tabelle2[[#This Row],[Spalte62]]</f>
        <v>292.31</v>
      </c>
      <c r="O11" s="1">
        <f t="shared" si="0"/>
        <v>27.06574074074074</v>
      </c>
      <c r="P11" s="35">
        <f>Tabelle2[[#This Row],[Spalte12]]/Tabelle2[[#This Row],[Spalte11]]</f>
        <v>0.94705977644581252</v>
      </c>
      <c r="Q11" s="26"/>
      <c r="R11" s="15">
        <f>Tabelle2[[#This Row],[Spalte2]]</f>
        <v>900.5</v>
      </c>
      <c r="S11" s="12">
        <v>842.92</v>
      </c>
      <c r="T11" s="14">
        <f t="shared" si="1"/>
        <v>57.580000000000041</v>
      </c>
    </row>
    <row r="12" spans="1:20" x14ac:dyDescent="0.2">
      <c r="A12" t="s">
        <v>36</v>
      </c>
      <c r="B12" s="1">
        <v>1079.0999999999999</v>
      </c>
      <c r="C12" s="1">
        <v>656.3</v>
      </c>
      <c r="D12" s="1">
        <v>568.1</v>
      </c>
      <c r="E12" s="24">
        <v>114.5</v>
      </c>
      <c r="F12" s="26"/>
      <c r="G12" s="17">
        <v>277.69</v>
      </c>
      <c r="H12" s="1">
        <v>249.55</v>
      </c>
      <c r="I12" s="1">
        <f>Tabelle2[[#This Row],[Spalte63]]+Tabelle2[[#This Row],[Spalte62]]</f>
        <v>527.24</v>
      </c>
      <c r="J12" s="9">
        <f>Tabelle2[[#This Row],[Spalte622]]/Tabelle2[[#This Row],[Spalte2]]</f>
        <v>0.48859234547307945</v>
      </c>
      <c r="K12" s="20">
        <f>Tabelle2[[#This Row],[Spalte622]]/Tabelle2[[#This Row],[Spalte3]]</f>
        <v>0.80335212555233892</v>
      </c>
      <c r="L12" s="26"/>
      <c r="M12" s="17">
        <v>260.10000000000002</v>
      </c>
      <c r="N12" s="1">
        <f>Tabelle2[[#This Row],[Spalte62]]</f>
        <v>249.55</v>
      </c>
      <c r="O12" s="1">
        <f t="shared" si="0"/>
        <v>23.106481481481481</v>
      </c>
      <c r="P12" s="35">
        <f>Tabelle2[[#This Row],[Spalte12]]/Tabelle2[[#This Row],[Spalte11]]</f>
        <v>0.95943867743175693</v>
      </c>
      <c r="Q12" s="26"/>
      <c r="R12" s="15">
        <f>Tabelle2[[#This Row],[Spalte2]]</f>
        <v>1079.0999999999999</v>
      </c>
      <c r="S12" s="12">
        <v>1038.29</v>
      </c>
      <c r="T12" s="14">
        <f t="shared" si="1"/>
        <v>40.809999999999945</v>
      </c>
    </row>
    <row r="13" spans="1:20" x14ac:dyDescent="0.2">
      <c r="A13" t="s">
        <v>10</v>
      </c>
      <c r="B13" s="1">
        <v>1179</v>
      </c>
      <c r="C13" s="1">
        <v>253</v>
      </c>
      <c r="D13" s="1">
        <v>969</v>
      </c>
      <c r="E13" s="24">
        <v>34</v>
      </c>
      <c r="F13" s="26"/>
      <c r="G13" s="17">
        <v>101.98</v>
      </c>
      <c r="H13" s="1">
        <v>99.44</v>
      </c>
      <c r="I13" s="1">
        <f>Tabelle2[[#This Row],[Spalte63]]+Tabelle2[[#This Row],[Spalte62]]</f>
        <v>201.42000000000002</v>
      </c>
      <c r="J13" s="9">
        <f>Tabelle2[[#This Row],[Spalte622]]/Tabelle2[[#This Row],[Spalte2]]</f>
        <v>0.17083969465648857</v>
      </c>
      <c r="K13" s="20">
        <f>Tabelle2[[#This Row],[Spalte622]]/Tabelle2[[#This Row],[Spalte3]]</f>
        <v>0.79612648221343885</v>
      </c>
      <c r="L13" s="26"/>
      <c r="M13" s="17">
        <v>136.91</v>
      </c>
      <c r="N13" s="1">
        <f>Tabelle2[[#This Row],[Spalte62]]</f>
        <v>99.44</v>
      </c>
      <c r="O13" s="1">
        <f>N13/10.8</f>
        <v>9.2074074074074073</v>
      </c>
      <c r="P13" s="35">
        <f>Tabelle2[[#This Row],[Spalte12]]/Tabelle2[[#This Row],[Spalte11]]</f>
        <v>0.72631655832298592</v>
      </c>
      <c r="Q13" s="26"/>
      <c r="R13" s="15">
        <f>Tabelle2[[#This Row],[Spalte2]]</f>
        <v>1179</v>
      </c>
      <c r="S13" s="12">
        <v>1162.71</v>
      </c>
      <c r="T13" s="14">
        <f t="shared" si="1"/>
        <v>16.289999999999964</v>
      </c>
    </row>
    <row r="14" spans="1:20" x14ac:dyDescent="0.2">
      <c r="A14" t="s">
        <v>11</v>
      </c>
      <c r="B14" s="1">
        <v>1273</v>
      </c>
      <c r="C14" s="1">
        <v>126</v>
      </c>
      <c r="D14" s="1">
        <v>1181</v>
      </c>
      <c r="E14" s="24">
        <v>20</v>
      </c>
      <c r="F14" s="26"/>
      <c r="G14" s="17">
        <v>60.31</v>
      </c>
      <c r="H14" s="1">
        <v>40.03</v>
      </c>
      <c r="I14" s="1">
        <f>Tabelle2[[#This Row],[Spalte63]]+Tabelle2[[#This Row],[Spalte62]]</f>
        <v>100.34</v>
      </c>
      <c r="J14" s="9">
        <f>Tabelle2[[#This Row],[Spalte622]]/Tabelle2[[#This Row],[Spalte2]]</f>
        <v>7.8821681068342503E-2</v>
      </c>
      <c r="K14" s="20">
        <f>Tabelle2[[#This Row],[Spalte622]]/Tabelle2[[#This Row],[Spalte3]]</f>
        <v>0.79634920634920636</v>
      </c>
      <c r="L14" s="26"/>
      <c r="M14" s="17">
        <v>46.73</v>
      </c>
      <c r="N14" s="1">
        <f>Tabelle2[[#This Row],[Spalte62]]</f>
        <v>40.03</v>
      </c>
      <c r="O14" s="1">
        <f t="shared" ref="O14:O19" si="2">N14/10.8</f>
        <v>3.7064814814814815</v>
      </c>
      <c r="P14" s="35">
        <f>Tabelle2[[#This Row],[Spalte12]]/Tabelle2[[#This Row],[Spalte11]]</f>
        <v>0.85662315429060565</v>
      </c>
      <c r="Q14" s="26"/>
      <c r="R14" s="15">
        <f>Tabelle2[[#This Row],[Spalte2]]</f>
        <v>1273</v>
      </c>
      <c r="S14" s="12">
        <v>1270.9000000000001</v>
      </c>
      <c r="T14" s="14">
        <f t="shared" si="1"/>
        <v>2.0999999999999091</v>
      </c>
    </row>
    <row r="15" spans="1:20" x14ac:dyDescent="0.2">
      <c r="A15" t="s">
        <v>12</v>
      </c>
      <c r="B15" s="1">
        <v>1073</v>
      </c>
      <c r="C15" s="1">
        <v>165</v>
      </c>
      <c r="D15" s="1">
        <v>919</v>
      </c>
      <c r="E15" s="24">
        <v>0</v>
      </c>
      <c r="F15" s="26"/>
      <c r="G15" s="17">
        <v>80.13</v>
      </c>
      <c r="H15" s="1">
        <v>73.19</v>
      </c>
      <c r="I15" s="1">
        <f>Tabelle2[[#This Row],[Spalte63]]+Tabelle2[[#This Row],[Spalte62]]</f>
        <v>153.32</v>
      </c>
      <c r="J15" s="9">
        <f>Tabelle2[[#This Row],[Spalte622]]/Tabelle2[[#This Row],[Spalte2]]</f>
        <v>0.14288909599254426</v>
      </c>
      <c r="K15" s="20">
        <f>Tabelle2[[#This Row],[Spalte622]]/Tabelle2[[#This Row],[Spalte3]]</f>
        <v>0.92921212121212116</v>
      </c>
      <c r="L15" s="26"/>
      <c r="M15" s="17">
        <v>83.54</v>
      </c>
      <c r="N15" s="1">
        <f>Tabelle2[[#This Row],[Spalte62]]</f>
        <v>73.19</v>
      </c>
      <c r="O15" s="1">
        <f t="shared" si="2"/>
        <v>6.776851851851851</v>
      </c>
      <c r="P15" s="35">
        <f>Tabelle2[[#This Row],[Spalte12]]/Tabelle2[[#This Row],[Spalte11]]</f>
        <v>0.87610725401005496</v>
      </c>
      <c r="Q15" s="26"/>
      <c r="R15" s="15">
        <f>Tabelle2[[#This Row],[Spalte2]]</f>
        <v>1073</v>
      </c>
      <c r="S15" s="12">
        <v>1041.47</v>
      </c>
      <c r="T15" s="14">
        <f t="shared" si="1"/>
        <v>31.529999999999973</v>
      </c>
    </row>
    <row r="16" spans="1:20" x14ac:dyDescent="0.2">
      <c r="A16" t="s">
        <v>15</v>
      </c>
      <c r="B16" s="1">
        <v>940</v>
      </c>
      <c r="C16" s="1">
        <v>389</v>
      </c>
      <c r="D16" s="1">
        <v>595</v>
      </c>
      <c r="E16" s="24">
        <v>26</v>
      </c>
      <c r="F16" s="26"/>
      <c r="G16" s="17">
        <v>165.01</v>
      </c>
      <c r="H16" s="1">
        <v>177.81</v>
      </c>
      <c r="I16" s="1">
        <f>Tabelle2[[#This Row],[Spalte63]]+Tabelle2[[#This Row],[Spalte62]]</f>
        <v>342.82</v>
      </c>
      <c r="J16" s="9">
        <f>Tabelle2[[#This Row],[Spalte622]]/Tabelle2[[#This Row],[Spalte2]]</f>
        <v>0.36470212765957444</v>
      </c>
      <c r="K16" s="20">
        <f>Tabelle2[[#This Row],[Spalte622]]/Tabelle2[[#This Row],[Spalte3]]</f>
        <v>0.88128534704370176</v>
      </c>
      <c r="L16" s="26"/>
      <c r="M16" s="17">
        <v>196.07</v>
      </c>
      <c r="N16" s="1">
        <f>Tabelle2[[#This Row],[Spalte62]]</f>
        <v>177.81</v>
      </c>
      <c r="O16" s="1">
        <f t="shared" ref="O16:O17" si="3">N16/10.8</f>
        <v>16.463888888888889</v>
      </c>
      <c r="P16" s="35">
        <f>Tabelle2[[#This Row],[Spalte12]]/Tabelle2[[#This Row],[Spalte11]]</f>
        <v>0.90686999540980262</v>
      </c>
      <c r="Q16" s="26"/>
      <c r="R16" s="15">
        <f>Tabelle2[[#This Row],[Spalte2]]</f>
        <v>940</v>
      </c>
      <c r="S16" s="12">
        <v>920.2</v>
      </c>
      <c r="T16" s="14">
        <f t="shared" si="1"/>
        <v>19.799999999999955</v>
      </c>
    </row>
    <row r="17" spans="1:20" x14ac:dyDescent="0.2">
      <c r="A17" t="s">
        <v>28</v>
      </c>
      <c r="B17" s="1">
        <v>852.5</v>
      </c>
      <c r="C17" s="1">
        <v>689.9</v>
      </c>
      <c r="D17" s="1">
        <v>309.39999999999998</v>
      </c>
      <c r="E17" s="24">
        <v>122.8</v>
      </c>
      <c r="F17" s="26"/>
      <c r="G17" s="17">
        <v>248.96</v>
      </c>
      <c r="H17" s="1">
        <v>290.89</v>
      </c>
      <c r="I17" s="1">
        <f>Tabelle2[[#This Row],[Spalte63]]+Tabelle2[[#This Row],[Spalte62]]</f>
        <v>539.85</v>
      </c>
      <c r="J17" s="9">
        <f>Tabelle2[[#This Row],[Spalte622]]/Tabelle2[[#This Row],[Spalte2]]</f>
        <v>0.63325513196480943</v>
      </c>
      <c r="K17" s="20">
        <f>Tabelle2[[#This Row],[Spalte622]]/Tabelle2[[#This Row],[Spalte3]]</f>
        <v>0.78250471082765627</v>
      </c>
      <c r="L17" s="26"/>
      <c r="M17" s="17">
        <v>310</v>
      </c>
      <c r="N17" s="1">
        <v>290</v>
      </c>
      <c r="O17" s="1">
        <f t="shared" si="3"/>
        <v>26.851851851851851</v>
      </c>
      <c r="P17" s="35">
        <f>Tabelle2[[#This Row],[Spalte12]]/Tabelle2[[#This Row],[Spalte11]]</f>
        <v>0.93548387096774188</v>
      </c>
      <c r="Q17" s="26"/>
      <c r="R17" s="15">
        <f>Tabelle2[[#This Row],[Spalte2]]</f>
        <v>852.5</v>
      </c>
      <c r="S17" s="12">
        <v>791.12</v>
      </c>
      <c r="T17" s="14">
        <f t="shared" si="1"/>
        <v>61.379999999999995</v>
      </c>
    </row>
    <row r="18" spans="1:20" x14ac:dyDescent="0.2">
      <c r="E18" s="25"/>
      <c r="F18" s="26"/>
      <c r="G18" s="23"/>
      <c r="I18" s="1"/>
      <c r="K18" s="21"/>
      <c r="L18" s="26"/>
      <c r="M18" s="18"/>
      <c r="O18" s="1"/>
      <c r="P18" s="1"/>
      <c r="Q18" s="26"/>
      <c r="R18" s="16"/>
      <c r="S18" s="12"/>
      <c r="T18" s="14"/>
    </row>
    <row r="19" spans="1:20" x14ac:dyDescent="0.2">
      <c r="A19" s="5"/>
      <c r="B19" s="6">
        <f>SUM(B6:B18)</f>
        <v>12297.7</v>
      </c>
      <c r="C19" s="6">
        <f>SUM(C6:C18)</f>
        <v>10521.199999999999</v>
      </c>
      <c r="D19" s="6">
        <f>SUM(D6:D18)</f>
        <v>5433.9</v>
      </c>
      <c r="E19" s="6">
        <f>SUM(E6:E18)</f>
        <v>3404.1</v>
      </c>
      <c r="F19" s="5"/>
      <c r="G19" s="6">
        <f>SUM(G6:G18)</f>
        <v>4249.1099999999997</v>
      </c>
      <c r="H19" s="6">
        <f>SUM(H6:H18)</f>
        <v>2651.98</v>
      </c>
      <c r="I19" s="6">
        <f>Tabelle2[[#This Row],[Spalte63]]+Tabelle2[[#This Row],[Spalte62]]</f>
        <v>6901.09</v>
      </c>
      <c r="J19" s="7">
        <f>1-(D19/B19)</f>
        <v>0.55813688738544609</v>
      </c>
      <c r="K19" s="7">
        <f>1-(E19/C19)</f>
        <v>0.67645325628255337</v>
      </c>
      <c r="L19" s="5"/>
      <c r="M19" s="6">
        <f>SUM(M6:M18)</f>
        <v>2868.23</v>
      </c>
      <c r="N19" s="6">
        <f>SUM(N6:N18)</f>
        <v>2651.09</v>
      </c>
      <c r="O19" s="6">
        <f t="shared" si="2"/>
        <v>245.47129629629629</v>
      </c>
      <c r="P19" s="39">
        <f>Tabelle2[[#This Row],[Spalte12]]/Tabelle2[[#This Row],[Spalte11]]</f>
        <v>0.92429477412899252</v>
      </c>
      <c r="Q19" s="5"/>
      <c r="R19" s="6">
        <f>SUM(R6:R18)</f>
        <v>12297.7</v>
      </c>
      <c r="S19" s="6">
        <f>SUM(S6:S18)</f>
        <v>11612.910000000002</v>
      </c>
      <c r="T19" s="6">
        <f>SUM(T6:T18)</f>
        <v>684.78999999999985</v>
      </c>
    </row>
    <row r="20" spans="1:20" x14ac:dyDescent="0.2">
      <c r="A20" t="s">
        <v>45</v>
      </c>
      <c r="B20" s="1">
        <v>6270</v>
      </c>
      <c r="I20" s="1"/>
      <c r="K20" s="4"/>
      <c r="O20" s="1"/>
      <c r="P20" s="1"/>
      <c r="T20" s="35"/>
    </row>
    <row r="21" spans="1:20" x14ac:dyDescent="0.2">
      <c r="A21" s="40" t="s">
        <v>46</v>
      </c>
      <c r="B21" s="41"/>
      <c r="C21" s="41">
        <f>C19/13.3</f>
        <v>791.06766917293226</v>
      </c>
      <c r="I21" s="1">
        <f>Tabelle2[[#This Row],[Spalte63]]+Tabelle2[[#This Row],[Spalte62]]</f>
        <v>0</v>
      </c>
      <c r="K21" s="4"/>
      <c r="O21" s="1"/>
      <c r="P21" s="1"/>
    </row>
    <row r="22" spans="1:20" x14ac:dyDescent="0.2">
      <c r="I22" s="1"/>
      <c r="K22" s="4"/>
      <c r="O22" s="1"/>
      <c r="P22" s="1"/>
    </row>
    <row r="23" spans="1:20" x14ac:dyDescent="0.2">
      <c r="B23" s="43" t="s">
        <v>63</v>
      </c>
      <c r="C23" s="44"/>
      <c r="D23" s="44"/>
      <c r="E23" s="44"/>
    </row>
    <row r="24" spans="1:20" s="31" customFormat="1" x14ac:dyDescent="0.2">
      <c r="A24" s="31" t="s">
        <v>53</v>
      </c>
      <c r="B24" s="10" t="s">
        <v>54</v>
      </c>
      <c r="C24" s="10" t="s">
        <v>55</v>
      </c>
      <c r="D24" s="10" t="s">
        <v>1</v>
      </c>
      <c r="E24" s="10" t="s">
        <v>56</v>
      </c>
      <c r="J24" s="33"/>
      <c r="M24" s="32"/>
      <c r="N24" s="32"/>
      <c r="O24" s="34"/>
      <c r="P24" s="34"/>
      <c r="R24" s="32"/>
      <c r="S24" s="32"/>
      <c r="T24" s="32"/>
    </row>
    <row r="26" spans="1:20" x14ac:dyDescent="0.2">
      <c r="A26" t="s">
        <v>48</v>
      </c>
    </row>
    <row r="27" spans="1:20" x14ac:dyDescent="0.2">
      <c r="A27" t="s">
        <v>49</v>
      </c>
      <c r="B27" s="3">
        <v>0.4</v>
      </c>
    </row>
    <row r="28" spans="1:20" x14ac:dyDescent="0.2">
      <c r="A28" t="s">
        <v>50</v>
      </c>
      <c r="B28" s="1">
        <v>6901</v>
      </c>
    </row>
    <row r="29" spans="1:20" x14ac:dyDescent="0.2">
      <c r="A29" t="s">
        <v>51</v>
      </c>
      <c r="C29" s="28">
        <f>B27*B28</f>
        <v>2760.4</v>
      </c>
    </row>
    <row r="31" spans="1:20" x14ac:dyDescent="0.2">
      <c r="A31" t="s">
        <v>57</v>
      </c>
      <c r="B31" s="1">
        <f>E19</f>
        <v>3404.1</v>
      </c>
    </row>
    <row r="32" spans="1:20" x14ac:dyDescent="0.2">
      <c r="A32" t="s">
        <v>49</v>
      </c>
      <c r="B32" s="29">
        <v>6.5000000000000002E-2</v>
      </c>
    </row>
    <row r="33" spans="1:5" x14ac:dyDescent="0.2">
      <c r="A33" t="s">
        <v>52</v>
      </c>
      <c r="C33" s="28">
        <f>B31*B32</f>
        <v>221.26650000000001</v>
      </c>
    </row>
    <row r="35" spans="1:5" x14ac:dyDescent="0.2">
      <c r="A35" t="s">
        <v>58</v>
      </c>
      <c r="D35" s="30">
        <f>C29+C33</f>
        <v>2981.6665000000003</v>
      </c>
    </row>
    <row r="37" spans="1:5" x14ac:dyDescent="0.2">
      <c r="A37" t="s">
        <v>68</v>
      </c>
      <c r="B37" s="28">
        <v>26000</v>
      </c>
      <c r="C37" s="28"/>
      <c r="D37" s="28"/>
      <c r="E37" s="28"/>
    </row>
    <row r="38" spans="1:5" x14ac:dyDescent="0.2">
      <c r="A38" t="s">
        <v>59</v>
      </c>
      <c r="B38" s="28">
        <v>989</v>
      </c>
      <c r="C38" s="28"/>
      <c r="D38" s="28"/>
      <c r="E38" s="28"/>
    </row>
    <row r="39" spans="1:5" x14ac:dyDescent="0.2">
      <c r="A39" t="s">
        <v>60</v>
      </c>
      <c r="B39" s="28"/>
      <c r="C39" s="28">
        <f>B37+B38</f>
        <v>26989</v>
      </c>
      <c r="D39" s="28"/>
      <c r="E39" s="28"/>
    </row>
    <row r="40" spans="1:5" x14ac:dyDescent="0.2">
      <c r="B40" s="28"/>
      <c r="C40" s="28"/>
      <c r="D40" s="28"/>
      <c r="E40" s="28"/>
    </row>
    <row r="41" spans="1:5" x14ac:dyDescent="0.2">
      <c r="A41" t="s">
        <v>61</v>
      </c>
      <c r="B41" s="28"/>
      <c r="C41" s="28"/>
      <c r="D41" s="37">
        <f>D35/C39</f>
        <v>0.11047710178220757</v>
      </c>
      <c r="E41" s="28"/>
    </row>
    <row r="42" spans="1:5" x14ac:dyDescent="0.2">
      <c r="A42" t="s">
        <v>62</v>
      </c>
      <c r="B42" s="28"/>
      <c r="C42" s="28"/>
      <c r="D42" s="38">
        <f>C39/D35</f>
        <v>9.05164947186414</v>
      </c>
      <c r="E42" s="28"/>
    </row>
    <row r="43" spans="1:5" x14ac:dyDescent="0.2">
      <c r="D43" s="41"/>
    </row>
    <row r="44" spans="1:5" ht="4" customHeight="1" x14ac:dyDescent="0.2">
      <c r="A44" s="45"/>
      <c r="B44" s="46"/>
      <c r="C44" s="46"/>
      <c r="D44" s="46"/>
      <c r="E44" s="46"/>
    </row>
    <row r="45" spans="1:5" x14ac:dyDescent="0.2">
      <c r="A45" t="s">
        <v>66</v>
      </c>
    </row>
    <row r="46" spans="1:5" x14ac:dyDescent="0.2">
      <c r="A46" t="s">
        <v>64</v>
      </c>
      <c r="B46" s="1">
        <f>H19</f>
        <v>2651.98</v>
      </c>
    </row>
    <row r="47" spans="1:5" x14ac:dyDescent="0.2">
      <c r="A47" t="s">
        <v>51</v>
      </c>
      <c r="B47" s="28">
        <f>B46*B27</f>
        <v>1060.7920000000001</v>
      </c>
    </row>
    <row r="48" spans="1:5" x14ac:dyDescent="0.2">
      <c r="A48" t="s">
        <v>65</v>
      </c>
      <c r="B48" s="36">
        <f>-B46*B32</f>
        <v>-172.37870000000001</v>
      </c>
    </row>
    <row r="49" spans="2:2" x14ac:dyDescent="0.2">
      <c r="B49" s="30">
        <f>B47+B48</f>
        <v>888.41330000000016</v>
      </c>
    </row>
  </sheetData>
  <mergeCells count="4">
    <mergeCell ref="M2:O2"/>
    <mergeCell ref="B2:E2"/>
    <mergeCell ref="G2:J2"/>
    <mergeCell ref="B23:E23"/>
  </mergeCells>
  <phoneticPr fontId="4" type="noConversion"/>
  <pageMargins left="0.7" right="0.7" top="0.78740157499999996" bottom="0.78740157499999996" header="0.3" footer="0.3"/>
  <pageSetup paperSize="9" scale="88" orientation="landscape" horizontalDpi="0" verticalDpi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12_Monate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Krüger</dc:creator>
  <cp:lastModifiedBy>Oliver Krüger</cp:lastModifiedBy>
  <cp:lastPrinted>2023-04-03T13:37:09Z</cp:lastPrinted>
  <dcterms:created xsi:type="dcterms:W3CDTF">2022-06-04T16:13:47Z</dcterms:created>
  <dcterms:modified xsi:type="dcterms:W3CDTF">2023-05-05T12:25:18Z</dcterms:modified>
</cp:coreProperties>
</file>